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ivate\ФАС\2023\05.2023\"/>
    </mc:Choice>
  </mc:AlternateContent>
  <bookViews>
    <workbookView xWindow="0" yWindow="0" windowWidth="28800" windowHeight="12435" activeTab="4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externalReferences>
    <externalReference r:id="rId13"/>
    <externalReference r:id="rId14"/>
  </externalReferences>
  <definedNames>
    <definedName name="_xlnm.Print_Area" localSheetId="1">Февраль!$A$2:$J$8</definedName>
    <definedName name="_xlnm.Print_Area" localSheetId="0">Январь!$A$2:$J$8</definedName>
  </definedNames>
  <calcPr calcId="152511"/>
</workbook>
</file>

<file path=xl/calcChain.xml><?xml version="1.0" encoding="utf-8"?>
<calcChain xmlns="http://schemas.openxmlformats.org/spreadsheetml/2006/main">
  <c r="G15" i="5" l="1"/>
  <c r="E9" i="5" l="1"/>
  <c r="E6" i="5"/>
  <c r="E7" i="5"/>
  <c r="H14" i="5" l="1"/>
  <c r="H15" i="5"/>
  <c r="H12" i="5"/>
  <c r="H11" i="5"/>
  <c r="H9" i="5" l="1"/>
  <c r="E9" i="4" l="1"/>
  <c r="E7" i="4"/>
  <c r="E6" i="4"/>
  <c r="H9" i="2" l="1"/>
  <c r="H15" i="2"/>
  <c r="H14" i="2"/>
  <c r="H13" i="2"/>
  <c r="H12" i="2"/>
  <c r="H11" i="2"/>
  <c r="H10" i="2"/>
  <c r="H6" i="2"/>
  <c r="H8" i="2"/>
  <c r="H7" i="2"/>
  <c r="E9" i="12" l="1"/>
  <c r="E7" i="12"/>
  <c r="E6" i="12"/>
  <c r="I9" i="12" l="1"/>
  <c r="J9" i="12" s="1"/>
  <c r="I7" i="12"/>
  <c r="J7" i="12" s="1"/>
  <c r="I6" i="12"/>
  <c r="J6" i="12" s="1"/>
  <c r="E9" i="11" l="1"/>
  <c r="E7" i="11"/>
  <c r="E6" i="11"/>
  <c r="I9" i="11"/>
  <c r="I7" i="11"/>
  <c r="I6" i="11"/>
  <c r="J6" i="11" l="1"/>
  <c r="J7" i="11"/>
  <c r="J9" i="11"/>
  <c r="J6" i="10" l="1"/>
  <c r="J7" i="8"/>
  <c r="J7" i="10"/>
  <c r="J9" i="10"/>
  <c r="I7" i="10" l="1"/>
  <c r="G15" i="10"/>
  <c r="G14" i="10"/>
  <c r="G12" i="10"/>
  <c r="G11" i="10"/>
  <c r="G9" i="10"/>
  <c r="G8" i="10"/>
  <c r="G7" i="10"/>
  <c r="G6" i="10"/>
  <c r="E9" i="10" l="1"/>
  <c r="I9" i="10" s="1"/>
  <c r="E7" i="10"/>
  <c r="E6" i="10"/>
  <c r="I6" i="10"/>
  <c r="G6" i="9" l="1"/>
  <c r="G7" i="9"/>
  <c r="G9" i="9"/>
  <c r="G15" i="9"/>
  <c r="E9" i="9"/>
  <c r="E7" i="9"/>
  <c r="E6" i="9"/>
  <c r="I9" i="9"/>
  <c r="J9" i="9" s="1"/>
  <c r="I7" i="9"/>
  <c r="J7" i="9" s="1"/>
  <c r="I6" i="9"/>
  <c r="J6" i="9" s="1"/>
  <c r="E7" i="8" l="1"/>
  <c r="E6" i="8"/>
  <c r="I6" i="8" s="1"/>
  <c r="J6" i="8" s="1"/>
  <c r="E9" i="8"/>
  <c r="I9" i="8" s="1"/>
  <c r="J9" i="8" s="1"/>
  <c r="I7" i="8"/>
  <c r="J9" i="7" l="1"/>
  <c r="I9" i="7"/>
  <c r="E9" i="7"/>
  <c r="I7" i="7"/>
  <c r="J7" i="7" s="1"/>
  <c r="E7" i="7"/>
  <c r="E6" i="7"/>
  <c r="I6" i="7" s="1"/>
  <c r="J6" i="7" s="1"/>
  <c r="E6" i="6" l="1"/>
  <c r="I6" i="6" l="1"/>
  <c r="J6" i="6"/>
  <c r="G15" i="6"/>
  <c r="G6" i="6"/>
  <c r="G7" i="6"/>
  <c r="I7" i="6" l="1"/>
  <c r="E9" i="6"/>
  <c r="E7" i="6"/>
  <c r="I9" i="6" l="1"/>
  <c r="J9" i="6" s="1"/>
  <c r="J7" i="6"/>
  <c r="I9" i="5" l="1"/>
  <c r="J9" i="5" s="1"/>
  <c r="I7" i="5"/>
  <c r="J7" i="5" s="1"/>
  <c r="I6" i="5"/>
  <c r="J6" i="5" s="1"/>
  <c r="I9" i="4" l="1"/>
  <c r="J9" i="4" s="1"/>
  <c r="I7" i="4"/>
  <c r="J7" i="4" s="1"/>
  <c r="I6" i="4"/>
  <c r="J6" i="4" s="1"/>
  <c r="I9" i="3" l="1"/>
  <c r="J9" i="3" s="1"/>
  <c r="E9" i="3"/>
  <c r="E7" i="3"/>
  <c r="I7" i="3" s="1"/>
  <c r="J7" i="3" s="1"/>
  <c r="I6" i="3"/>
  <c r="J6" i="3" s="1"/>
  <c r="E6" i="3"/>
  <c r="G6" i="2" l="1"/>
  <c r="E9" i="2" l="1"/>
  <c r="I9" i="2" s="1"/>
  <c r="J9" i="2" s="1"/>
  <c r="E7" i="2"/>
  <c r="E6" i="2"/>
  <c r="I7" i="2"/>
  <c r="J7" i="2" s="1"/>
  <c r="I6" i="2"/>
  <c r="J6" i="2" s="1"/>
  <c r="J9" i="1" l="1"/>
  <c r="I6" i="1"/>
  <c r="J6" i="1" s="1"/>
  <c r="I7" i="1"/>
  <c r="J7" i="1" s="1"/>
  <c r="I9" i="1"/>
  <c r="E6" i="1"/>
  <c r="E7" i="1"/>
  <c r="E9" i="1"/>
</calcChain>
</file>

<file path=xl/sharedStrings.xml><?xml version="1.0" encoding="utf-8"?>
<sst xmlns="http://schemas.openxmlformats.org/spreadsheetml/2006/main" count="636" uniqueCount="53">
  <si>
    <t>№ п/п</t>
  </si>
  <si>
    <t>Наименование зоны входа</t>
  </si>
  <si>
    <t>Наименование магистрального трубопровода</t>
  </si>
  <si>
    <t>Точка входа</t>
  </si>
  <si>
    <t>1-31 января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</si>
  <si>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</si>
  <si>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</si>
  <si>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</si>
  <si>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</si>
  <si>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</si>
  <si>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r>
      <t>Техническая мощность точки входа,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</si>
  <si>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поступившими заявками,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</si>
  <si>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</si>
  <si>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Фактическая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</si>
  <si>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Свободная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</si>
  <si>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Потребитель, владелец газа</t>
  </si>
  <si>
    <t>Газопровод-отвод Анненские Минеральные Воды</t>
  </si>
  <si>
    <t>Газопровод-отвод  п. Ягодный</t>
  </si>
  <si>
    <t>Газопровод-отвод  Богородск</t>
  </si>
  <si>
    <t>ООО "Сусанинский теплоэнергосервис", ИНН 2719002586</t>
  </si>
  <si>
    <t>ООО "Богородская тепловая электроцентраль",
ИНН 2719009020</t>
  </si>
  <si>
    <t>население
п. Богородское</t>
  </si>
  <si>
    <t>ООО "Шелеховский теплоэнергетический комплекс",
ИНН 2712014134</t>
  </si>
  <si>
    <t>ИП Медведев Иван Николаевич,
ИНН 271203990309</t>
  </si>
  <si>
    <t>ООО "Ягодное",
ИНН 2712008363</t>
  </si>
  <si>
    <t>ООО "Экспресс",
ИНН 2712008268</t>
  </si>
  <si>
    <t>Мокрушина Василина Антоновна ИП
ИНН 270303220573</t>
  </si>
  <si>
    <t>население п.Ягодный</t>
  </si>
  <si>
    <t xml:space="preserve">Приложение N 4
к приказу ФАС России
от 18.01.2019 N 38/19
Форма 2
</t>
  </si>
  <si>
    <t>ООО "Шелеховский теплоэнергетический комплекс" (Магазин)</t>
  </si>
  <si>
    <t>1-28 февраля</t>
  </si>
  <si>
    <t>1-31 Марта</t>
  </si>
  <si>
    <t>1-30 Апреля</t>
  </si>
  <si>
    <t>1-31 Мая</t>
  </si>
  <si>
    <t>1-30 Июня</t>
  </si>
  <si>
    <t>1-31 Июля</t>
  </si>
  <si>
    <t>1-31 Августа</t>
  </si>
  <si>
    <t>1-30 Сентябрь</t>
  </si>
  <si>
    <t>1-31 Октябрь</t>
  </si>
  <si>
    <t>1-31 Декабря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</si>
  <si>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ДЕКАБРЬ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</si>
  <si>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НОЯБРЬ 2023 года                  </t>
  </si>
  <si>
    <t>1-30 Ноября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</si>
  <si>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ОКТЯБРЬ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</si>
  <si>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СЕНТЯБРЬ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</si>
  <si>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АВГУСТ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</si>
  <si>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ИЮЛЬ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</si>
  <si>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ИЮНЬ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</si>
  <si>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МАЙ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</si>
  <si>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АПРЕЛЬ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</si>
  <si>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МАРТ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</si>
  <si>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ФЕВРАЛЬ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</si>
  <si>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ЯНВАРЬ 2023 года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</si>
</sst>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35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3" xfId="0" applyFont="1" applyBorder="1"/>
    <xf numFmtId="0" fontId="4" fillId="0" borderId="1" xfId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6" fontId="1" fillId="0" borderId="0" xfId="0" applyNumberFormat="1" applyFont="1"/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20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4;&#1086;&#1082;&#1091;&#1084;&#1077;&#1085;&#1090;&#1099;\&#1054;&#1087;&#1077;&#1088;&#1072;&#1090;&#1080;&#1074;&#1085;&#1099;&#1081;%20&#1091;&#1095;&#1077;&#1090;\Private\2023\&#1050;&#1086;&#1084;&#1089;&#1086;&#1084;&#1086;&#1083;&#1100;&#1089;&#1082;\2023%20&#1088;&#1072;&#1081;&#1086;&#1085;-&#1043;&#1040;&#104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4;&#1086;&#1082;&#1091;&#1084;&#1077;&#1085;&#1090;&#1099;\&#1054;&#1087;&#1077;&#1088;&#1072;&#1090;&#1080;&#1074;&#1085;&#1099;&#1081;%20&#1091;&#1095;&#1077;&#1090;\Private\2023\&#1050;&#1086;&#1084;&#1073;&#1099;&#1090;%20&#1061;&#1072;&#1073;.%20&#1082;&#1088;&#1072;&#1081;\&#1050;&#1086;&#1084;&#1073;&#1099;&#1090;%20&#1061;&#1072;&#1073;&#1072;&#1088;&#1086;&#1074;&#1089;&#1082;&#1080;&#1081;%20&#1082;&#1088;&#1072;&#1081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Итого 2023"/>
    </sheetNames>
    <sheetDataSet>
      <sheetData sheetId="0"/>
      <sheetData sheetId="1">
        <row r="36">
          <cell r="FN36">
            <v>676.79499999999996</v>
          </cell>
          <cell r="FQ36">
            <v>1.476</v>
          </cell>
          <cell r="GB36">
            <v>146.316</v>
          </cell>
          <cell r="GL36">
            <v>166.83500000000004</v>
          </cell>
          <cell r="GM36">
            <v>4.9740000000000002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</sheetNames>
    <sheetDataSet>
      <sheetData sheetId="0">
        <row r="5">
          <cell r="I5">
            <v>3.2759999999999998</v>
          </cell>
        </row>
      </sheetData>
      <sheetData sheetId="1">
        <row r="5">
          <cell r="I5">
            <v>3.472</v>
          </cell>
        </row>
        <row r="75">
          <cell r="J75">
            <v>0</v>
          </cell>
        </row>
        <row r="104">
          <cell r="J104">
            <v>0</v>
          </cell>
        </row>
        <row r="105">
          <cell r="J105">
            <v>0.92200000000000004</v>
          </cell>
        </row>
        <row r="146">
          <cell r="J146">
            <v>0.59799999999999998</v>
          </cell>
        </row>
        <row r="147">
          <cell r="J147">
            <v>1.2330000000000001</v>
          </cell>
        </row>
        <row r="150">
          <cell r="J150">
            <v>1.865</v>
          </cell>
        </row>
        <row r="151">
          <cell r="J151">
            <v>1.7000000000000001E-2</v>
          </cell>
        </row>
      </sheetData>
      <sheetData sheetId="2">
        <row r="5">
          <cell r="I5">
            <v>3.5070000000000001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H15" sqref="H9:H15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110" t="s">
        <v>28</v>
      </c>
      <c r="J1" s="110"/>
    </row>
    <row r="2" spans="1:11" ht="85.5" customHeight="1" x14ac:dyDescent="0.25">
      <c r="A2" s="107" t="s">
        <v>52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1" ht="15.75" thickBot="1" x14ac:dyDescent="0.3">
      <c r="A3" s="123" t="s">
        <v>4</v>
      </c>
      <c r="B3" s="124"/>
      <c r="C3" s="10"/>
      <c r="D3" s="10"/>
      <c r="E3" s="10"/>
      <c r="F3" s="10"/>
      <c r="G3" s="10"/>
      <c r="H3" s="10"/>
      <c r="I3" s="10"/>
      <c r="J3" s="11"/>
    </row>
    <row r="4" spans="1:11" ht="14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10</v>
      </c>
      <c r="F4" s="5" t="s">
        <v>15</v>
      </c>
      <c r="G4" s="5" t="s">
        <v>11</v>
      </c>
      <c r="H4" s="2" t="s">
        <v>12</v>
      </c>
      <c r="I4" s="3" t="s">
        <v>13</v>
      </c>
      <c r="J4" s="3" t="s">
        <v>14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5">
        <f>1.5/1000*24*31</f>
        <v>1.1160000000000001</v>
      </c>
      <c r="F6" s="16" t="s">
        <v>19</v>
      </c>
      <c r="G6" s="19">
        <v>0.2465</v>
      </c>
      <c r="H6" s="19">
        <v>0.24199999999999999</v>
      </c>
      <c r="I6" s="19">
        <f>E6</f>
        <v>1.1160000000000001</v>
      </c>
      <c r="J6" s="20">
        <f>I6-H6</f>
        <v>0.87400000000000011</v>
      </c>
    </row>
    <row r="7" spans="1:11" ht="88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9">
        <f>3/1000*24*31</f>
        <v>2.2320000000000002</v>
      </c>
      <c r="F7" s="18" t="s">
        <v>20</v>
      </c>
      <c r="G7" s="27">
        <v>0.70609999999999995</v>
      </c>
      <c r="H7" s="21">
        <v>0.73695900000000003</v>
      </c>
      <c r="I7" s="111">
        <f>E7</f>
        <v>2.2320000000000002</v>
      </c>
      <c r="J7" s="113">
        <f>I7-H7-H8</f>
        <v>1.493611</v>
      </c>
    </row>
    <row r="8" spans="1:11" ht="63" customHeight="1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20">
        <v>2.2320000000000002</v>
      </c>
      <c r="F8" s="9" t="s">
        <v>21</v>
      </c>
      <c r="G8" s="30">
        <v>1.4300000000000001E-3</v>
      </c>
      <c r="H8" s="22">
        <v>1.4300000000000001E-3</v>
      </c>
      <c r="I8" s="112"/>
      <c r="J8" s="114"/>
    </row>
    <row r="9" spans="1:11" ht="63" customHeight="1" x14ac:dyDescent="0.25">
      <c r="A9" s="17">
        <v>4</v>
      </c>
      <c r="B9" s="18" t="s">
        <v>17</v>
      </c>
      <c r="C9" s="18" t="s">
        <v>6</v>
      </c>
      <c r="D9" s="18" t="s">
        <v>9</v>
      </c>
      <c r="E9" s="119">
        <f>15/1000*24*31</f>
        <v>11.16</v>
      </c>
      <c r="F9" s="18" t="s">
        <v>22</v>
      </c>
      <c r="G9" s="28">
        <v>0.2</v>
      </c>
      <c r="H9" s="21">
        <v>0.20827899999999999</v>
      </c>
      <c r="I9" s="115">
        <f>E9</f>
        <v>11.16</v>
      </c>
      <c r="J9" s="113">
        <f>I9-H9-H10-H11-H12-H13-H14-H15</f>
        <v>10.940468000000001</v>
      </c>
    </row>
    <row r="10" spans="1:11" ht="63" customHeight="1" x14ac:dyDescent="0.25">
      <c r="A10" s="24">
        <v>5</v>
      </c>
      <c r="B10" s="25" t="s">
        <v>17</v>
      </c>
      <c r="C10" s="25" t="s">
        <v>6</v>
      </c>
      <c r="D10" s="25" t="s">
        <v>9</v>
      </c>
      <c r="E10" s="121"/>
      <c r="F10" s="25" t="s">
        <v>29</v>
      </c>
      <c r="G10" s="29">
        <v>1E-3</v>
      </c>
      <c r="H10" s="26">
        <v>7.6999999999999996E-4</v>
      </c>
      <c r="I10" s="116"/>
      <c r="J10" s="122"/>
    </row>
    <row r="11" spans="1:11" ht="63" customHeight="1" x14ac:dyDescent="0.25">
      <c r="A11" s="7">
        <v>6</v>
      </c>
      <c r="B11" s="12" t="s">
        <v>17</v>
      </c>
      <c r="C11" s="12" t="s">
        <v>6</v>
      </c>
      <c r="D11" s="12" t="s">
        <v>9</v>
      </c>
      <c r="E11" s="121"/>
      <c r="F11" s="12" t="s">
        <v>23</v>
      </c>
      <c r="G11" s="29">
        <v>1.6000000000000001E-3</v>
      </c>
      <c r="H11" s="23">
        <v>1.41E-3</v>
      </c>
      <c r="I11" s="117"/>
      <c r="J11" s="122"/>
    </row>
    <row r="12" spans="1:11" ht="63" customHeight="1" x14ac:dyDescent="0.25">
      <c r="A12" s="7">
        <v>7</v>
      </c>
      <c r="B12" s="12" t="s">
        <v>17</v>
      </c>
      <c r="C12" s="12" t="s">
        <v>6</v>
      </c>
      <c r="D12" s="12" t="s">
        <v>9</v>
      </c>
      <c r="E12" s="121"/>
      <c r="F12" s="12" t="s">
        <v>24</v>
      </c>
      <c r="G12" s="29">
        <v>1.9819999999999998E-3</v>
      </c>
      <c r="H12" s="23">
        <v>1.9819999999999998E-3</v>
      </c>
      <c r="I12" s="117"/>
      <c r="J12" s="122"/>
    </row>
    <row r="13" spans="1:11" ht="63" customHeight="1" x14ac:dyDescent="0.25">
      <c r="A13" s="7">
        <v>8</v>
      </c>
      <c r="B13" s="12" t="s">
        <v>17</v>
      </c>
      <c r="C13" s="12" t="s">
        <v>6</v>
      </c>
      <c r="D13" s="12" t="s">
        <v>9</v>
      </c>
      <c r="E13" s="121"/>
      <c r="F13" s="12" t="s">
        <v>25</v>
      </c>
      <c r="G13" s="29">
        <v>1.8500000000000001E-3</v>
      </c>
      <c r="H13" s="23">
        <v>1.6509999999999999E-3</v>
      </c>
      <c r="I13" s="117"/>
      <c r="J13" s="122"/>
    </row>
    <row r="14" spans="1:11" ht="63" customHeight="1" x14ac:dyDescent="0.25">
      <c r="A14" s="7">
        <v>9</v>
      </c>
      <c r="B14" s="12" t="s">
        <v>17</v>
      </c>
      <c r="C14" s="12" t="s">
        <v>6</v>
      </c>
      <c r="D14" s="12" t="s">
        <v>9</v>
      </c>
      <c r="E14" s="121"/>
      <c r="F14" s="12" t="s">
        <v>26</v>
      </c>
      <c r="G14" s="29">
        <v>1E-3</v>
      </c>
      <c r="H14" s="23">
        <v>8.5499999999999997E-4</v>
      </c>
      <c r="I14" s="117"/>
      <c r="J14" s="122"/>
    </row>
    <row r="15" spans="1:11" ht="102.75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20"/>
      <c r="F15" s="9" t="s">
        <v>27</v>
      </c>
      <c r="G15" s="30">
        <v>4.5849999999999997E-3</v>
      </c>
      <c r="H15" s="22">
        <v>4.5849999999999997E-3</v>
      </c>
      <c r="I15" s="118"/>
      <c r="J15" s="114"/>
    </row>
  </sheetData>
  <mergeCells count="9">
    <mergeCell ref="A2:J2"/>
    <mergeCell ref="I1:J1"/>
    <mergeCell ref="I7:I8"/>
    <mergeCell ref="J7:J8"/>
    <mergeCell ref="I9:I15"/>
    <mergeCell ref="E7:E8"/>
    <mergeCell ref="E9:E15"/>
    <mergeCell ref="J9:J15"/>
    <mergeCell ref="A3:B3"/>
  </mergeCells>
  <pageMargins left="0.7" right="0.7" top="0.75" bottom="0.75" header="0.3" footer="0.3"/>
  <pageSetup paperSize="9"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70" zoomScaleNormal="70" workbookViewId="0">
      <selection activeCell="H6" sqref="H6:H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0" t="s">
        <v>28</v>
      </c>
      <c r="J1" s="110"/>
    </row>
    <row r="2" spans="1:11" ht="85.5" customHeight="1" x14ac:dyDescent="0.25">
      <c r="A2" s="107" t="s">
        <v>43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1" x14ac:dyDescent="0.25">
      <c r="A3" s="123" t="s">
        <v>38</v>
      </c>
      <c r="B3" s="124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74">
        <v>2</v>
      </c>
      <c r="C5" s="74">
        <v>3</v>
      </c>
      <c r="D5" s="74">
        <v>4</v>
      </c>
      <c r="E5" s="74">
        <v>5</v>
      </c>
      <c r="F5" s="74">
        <v>6</v>
      </c>
      <c r="G5" s="74">
        <v>7</v>
      </c>
      <c r="H5" s="74">
        <v>8</v>
      </c>
      <c r="I5" s="74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70">
        <f>1.5/1000*24*31</f>
        <v>1.1160000000000001</v>
      </c>
      <c r="F6" s="36" t="s">
        <v>19</v>
      </c>
      <c r="G6" s="70">
        <f>157.5/1000</f>
        <v>0.1575</v>
      </c>
      <c r="H6" s="82"/>
      <c r="I6" s="70">
        <f>E6</f>
        <v>1.1160000000000001</v>
      </c>
      <c r="J6" s="71">
        <f>I6-H6</f>
        <v>1.1160000000000001</v>
      </c>
    </row>
    <row r="7" spans="1:11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1">
        <f>3/1000*24*31</f>
        <v>2.2320000000000002</v>
      </c>
      <c r="F7" s="18" t="s">
        <v>20</v>
      </c>
      <c r="G7" s="72">
        <f>390/1000</f>
        <v>0.39</v>
      </c>
      <c r="H7" s="83"/>
      <c r="I7" s="111">
        <f>E7</f>
        <v>2.2320000000000002</v>
      </c>
      <c r="J7" s="113">
        <f>I7-H7-H8</f>
        <v>2.2320000000000002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2">
        <v>2.2320000000000002</v>
      </c>
      <c r="F8" s="9" t="s">
        <v>21</v>
      </c>
      <c r="G8" s="73">
        <f>0.766/1000</f>
        <v>7.6599999999999997E-4</v>
      </c>
      <c r="H8" s="84"/>
      <c r="I8" s="112"/>
      <c r="J8" s="114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34">
        <f>15/1000*24*31</f>
        <v>11.16</v>
      </c>
      <c r="F9" s="25" t="s">
        <v>22</v>
      </c>
      <c r="G9" s="51">
        <f>80/1000</f>
        <v>0.08</v>
      </c>
      <c r="H9" s="51"/>
      <c r="I9" s="116">
        <f>E9</f>
        <v>11.16</v>
      </c>
      <c r="J9" s="122">
        <f>I9-H9-H10-H11-H12-H13-H14-H15</f>
        <v>11.16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34"/>
      <c r="F10" s="25" t="s">
        <v>29</v>
      </c>
      <c r="G10" s="52">
        <v>0</v>
      </c>
      <c r="H10" s="52"/>
      <c r="I10" s="116"/>
      <c r="J10" s="122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34"/>
      <c r="F11" s="12" t="s">
        <v>23</v>
      </c>
      <c r="G11" s="53">
        <f>0.2/1000</f>
        <v>2.0000000000000001E-4</v>
      </c>
      <c r="H11" s="53"/>
      <c r="I11" s="117"/>
      <c r="J11" s="122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34"/>
      <c r="F12" s="12" t="s">
        <v>24</v>
      </c>
      <c r="G12" s="53">
        <f>0.9/1000</f>
        <v>8.9999999999999998E-4</v>
      </c>
      <c r="H12" s="53"/>
      <c r="I12" s="117"/>
      <c r="J12" s="122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34"/>
      <c r="F13" s="12" t="s">
        <v>25</v>
      </c>
      <c r="G13" s="53">
        <v>0</v>
      </c>
      <c r="H13" s="53"/>
      <c r="I13" s="117"/>
      <c r="J13" s="122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34"/>
      <c r="F14" s="12" t="s">
        <v>26</v>
      </c>
      <c r="G14" s="53">
        <f>0.3/1000</f>
        <v>2.9999999999999997E-4</v>
      </c>
      <c r="H14" s="53"/>
      <c r="I14" s="117"/>
      <c r="J14" s="122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2"/>
      <c r="F15" s="9" t="s">
        <v>27</v>
      </c>
      <c r="G15" s="54">
        <f>2.944/1000</f>
        <v>2.944E-3</v>
      </c>
      <c r="H15" s="54"/>
      <c r="I15" s="118"/>
      <c r="J15" s="114"/>
    </row>
    <row r="16" spans="1:11" x14ac:dyDescent="0.25">
      <c r="H16" s="86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BreakPreview" zoomScale="85" zoomScaleSheetLayoutView="85" workbookViewId="0">
      <selection activeCell="A3" sqref="A3:B3"/>
    </sheetView>
  </sheetViews>
  <sheetFormatPr defaultRowHeight="15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110" t="s">
        <v>28</v>
      </c>
      <c r="J1" s="110"/>
    </row>
    <row r="2" spans="1:11" ht="85.5" customHeight="1" x14ac:dyDescent="0.25">
      <c r="A2" s="107" t="s">
        <v>41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1" ht="15.75" thickBot="1" x14ac:dyDescent="0.3">
      <c r="A3" s="123" t="s">
        <v>42</v>
      </c>
      <c r="B3" s="124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10</v>
      </c>
      <c r="F4" s="5" t="s">
        <v>15</v>
      </c>
      <c r="G4" s="5" t="s">
        <v>11</v>
      </c>
      <c r="H4" s="2" t="s">
        <v>12</v>
      </c>
      <c r="I4" s="3" t="s">
        <v>13</v>
      </c>
      <c r="J4" s="3" t="s">
        <v>14</v>
      </c>
    </row>
    <row r="5" spans="1:11" ht="15.75" thickBot="1" x14ac:dyDescent="0.3">
      <c r="A5" s="14">
        <v>1</v>
      </c>
      <c r="B5" s="85">
        <v>2</v>
      </c>
      <c r="C5" s="85">
        <v>3</v>
      </c>
      <c r="D5" s="85">
        <v>4</v>
      </c>
      <c r="E5" s="85">
        <v>5</v>
      </c>
      <c r="F5" s="85">
        <v>6</v>
      </c>
      <c r="G5" s="85">
        <v>7</v>
      </c>
      <c r="H5" s="85">
        <v>8</v>
      </c>
      <c r="I5" s="85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19">
        <f>1.5/1000*24*30</f>
        <v>1.08</v>
      </c>
      <c r="F6" s="16" t="s">
        <v>19</v>
      </c>
      <c r="G6" s="19">
        <v>0.185</v>
      </c>
      <c r="H6" s="19"/>
      <c r="I6" s="19">
        <f>E6</f>
        <v>1.08</v>
      </c>
      <c r="J6" s="20">
        <f>I6-H6</f>
        <v>1.08</v>
      </c>
    </row>
    <row r="7" spans="1:11" ht="88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1">
        <f>3/1000*24*30</f>
        <v>2.16</v>
      </c>
      <c r="F7" s="18" t="s">
        <v>20</v>
      </c>
      <c r="G7" s="87">
        <v>0.45</v>
      </c>
      <c r="H7" s="87"/>
      <c r="I7" s="111">
        <f>E7</f>
        <v>2.16</v>
      </c>
      <c r="J7" s="113">
        <f>I7-H7-H8</f>
        <v>2.16</v>
      </c>
    </row>
    <row r="8" spans="1:11" ht="63" customHeight="1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2">
        <v>2.2320000000000002</v>
      </c>
      <c r="F8" s="9" t="s">
        <v>21</v>
      </c>
      <c r="G8" s="90">
        <v>8.8699999999999998E-4</v>
      </c>
      <c r="H8" s="90"/>
      <c r="I8" s="112"/>
      <c r="J8" s="114"/>
    </row>
    <row r="9" spans="1:11" ht="63" customHeight="1" x14ac:dyDescent="0.25">
      <c r="A9" s="17">
        <v>4</v>
      </c>
      <c r="B9" s="18" t="s">
        <v>17</v>
      </c>
      <c r="C9" s="18" t="s">
        <v>6</v>
      </c>
      <c r="D9" s="18" t="s">
        <v>9</v>
      </c>
      <c r="E9" s="111">
        <f>15/1000*24*30</f>
        <v>10.799999999999999</v>
      </c>
      <c r="F9" s="18" t="s">
        <v>22</v>
      </c>
      <c r="G9" s="88">
        <v>0.125</v>
      </c>
      <c r="H9" s="87"/>
      <c r="I9" s="115">
        <f>E9</f>
        <v>10.799999999999999</v>
      </c>
      <c r="J9" s="113">
        <f>I9-H9-H10-H11-H12-H13-H14-H15</f>
        <v>10.799999999999999</v>
      </c>
    </row>
    <row r="10" spans="1:11" ht="63" customHeight="1" x14ac:dyDescent="0.25">
      <c r="A10" s="24">
        <v>5</v>
      </c>
      <c r="B10" s="25" t="s">
        <v>17</v>
      </c>
      <c r="C10" s="25" t="s">
        <v>6</v>
      </c>
      <c r="D10" s="25" t="s">
        <v>9</v>
      </c>
      <c r="E10" s="134"/>
      <c r="F10" s="25" t="s">
        <v>29</v>
      </c>
      <c r="G10" s="89">
        <v>0</v>
      </c>
      <c r="H10" s="88"/>
      <c r="I10" s="116"/>
      <c r="J10" s="122"/>
    </row>
    <row r="11" spans="1:11" ht="63" customHeight="1" x14ac:dyDescent="0.25">
      <c r="A11" s="7">
        <v>6</v>
      </c>
      <c r="B11" s="12" t="s">
        <v>17</v>
      </c>
      <c r="C11" s="12" t="s">
        <v>6</v>
      </c>
      <c r="D11" s="12" t="s">
        <v>9</v>
      </c>
      <c r="E11" s="134"/>
      <c r="F11" s="12" t="s">
        <v>23</v>
      </c>
      <c r="G11" s="89">
        <v>6.9999999999999999E-4</v>
      </c>
      <c r="H11" s="89"/>
      <c r="I11" s="117"/>
      <c r="J11" s="122"/>
    </row>
    <row r="12" spans="1:11" ht="63" customHeight="1" x14ac:dyDescent="0.25">
      <c r="A12" s="7">
        <v>7</v>
      </c>
      <c r="B12" s="12" t="s">
        <v>17</v>
      </c>
      <c r="C12" s="12" t="s">
        <v>6</v>
      </c>
      <c r="D12" s="12" t="s">
        <v>9</v>
      </c>
      <c r="E12" s="134"/>
      <c r="F12" s="12" t="s">
        <v>24</v>
      </c>
      <c r="G12" s="89">
        <v>5.0000000000000001E-4</v>
      </c>
      <c r="H12" s="89"/>
      <c r="I12" s="117"/>
      <c r="J12" s="122"/>
    </row>
    <row r="13" spans="1:11" ht="63" customHeight="1" x14ac:dyDescent="0.25">
      <c r="A13" s="7">
        <v>8</v>
      </c>
      <c r="B13" s="12" t="s">
        <v>17</v>
      </c>
      <c r="C13" s="12" t="s">
        <v>6</v>
      </c>
      <c r="D13" s="12" t="s">
        <v>9</v>
      </c>
      <c r="E13" s="134"/>
      <c r="F13" s="12" t="s">
        <v>25</v>
      </c>
      <c r="G13" s="89">
        <v>0</v>
      </c>
      <c r="H13" s="89"/>
      <c r="I13" s="117"/>
      <c r="J13" s="122"/>
    </row>
    <row r="14" spans="1:11" ht="63" customHeight="1" x14ac:dyDescent="0.25">
      <c r="A14" s="7">
        <v>9</v>
      </c>
      <c r="B14" s="12" t="s">
        <v>17</v>
      </c>
      <c r="C14" s="12" t="s">
        <v>6</v>
      </c>
      <c r="D14" s="12" t="s">
        <v>9</v>
      </c>
      <c r="E14" s="134"/>
      <c r="F14" s="12" t="s">
        <v>26</v>
      </c>
      <c r="G14" s="89">
        <v>1.1999999999999999E-3</v>
      </c>
      <c r="H14" s="89"/>
      <c r="I14" s="117"/>
      <c r="J14" s="122"/>
    </row>
    <row r="15" spans="1:11" ht="102.75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2"/>
      <c r="F15" s="9" t="s">
        <v>27</v>
      </c>
      <c r="G15" s="90">
        <v>3.0169999999999997E-3</v>
      </c>
      <c r="H15" s="90"/>
      <c r="I15" s="118"/>
      <c r="J15" s="114"/>
    </row>
    <row r="16" spans="1:11" ht="63" customHeight="1" x14ac:dyDescent="0.25"/>
    <row r="17" ht="63" customHeight="1" x14ac:dyDescent="0.25"/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BreakPreview" topLeftCell="A2" zoomScale="85" zoomScaleSheetLayoutView="85" workbookViewId="0">
      <selection activeCell="H6" sqref="H6:H15"/>
    </sheetView>
  </sheetViews>
  <sheetFormatPr defaultRowHeight="15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110" t="s">
        <v>28</v>
      </c>
      <c r="J1" s="110"/>
    </row>
    <row r="2" spans="1:11" ht="85.5" customHeight="1" x14ac:dyDescent="0.25">
      <c r="A2" s="107" t="s">
        <v>40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1" ht="15.75" thickBot="1" x14ac:dyDescent="0.3">
      <c r="A3" s="123" t="s">
        <v>39</v>
      </c>
      <c r="B3" s="124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10</v>
      </c>
      <c r="F4" s="5" t="s">
        <v>15</v>
      </c>
      <c r="G4" s="5" t="s">
        <v>11</v>
      </c>
      <c r="H4" s="2" t="s">
        <v>12</v>
      </c>
      <c r="I4" s="3" t="s">
        <v>13</v>
      </c>
      <c r="J4" s="3" t="s">
        <v>14</v>
      </c>
    </row>
    <row r="5" spans="1:11" ht="15.75" thickBot="1" x14ac:dyDescent="0.3">
      <c r="A5" s="14">
        <v>1</v>
      </c>
      <c r="B5" s="91">
        <v>2</v>
      </c>
      <c r="C5" s="91">
        <v>3</v>
      </c>
      <c r="D5" s="91">
        <v>4</v>
      </c>
      <c r="E5" s="91">
        <v>5</v>
      </c>
      <c r="F5" s="91">
        <v>6</v>
      </c>
      <c r="G5" s="91">
        <v>7</v>
      </c>
      <c r="H5" s="91">
        <v>8</v>
      </c>
      <c r="I5" s="91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19">
        <f>1.5/1000*24*31</f>
        <v>1.1160000000000001</v>
      </c>
      <c r="F6" s="16" t="s">
        <v>19</v>
      </c>
      <c r="G6" s="19">
        <v>0.22</v>
      </c>
      <c r="H6" s="19"/>
      <c r="I6" s="19">
        <f>E6</f>
        <v>1.1160000000000001</v>
      </c>
      <c r="J6" s="20">
        <f>I6-H6</f>
        <v>1.1160000000000001</v>
      </c>
    </row>
    <row r="7" spans="1:11" ht="88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1">
        <f>3/1000*24*31</f>
        <v>2.2320000000000002</v>
      </c>
      <c r="F7" s="18" t="s">
        <v>20</v>
      </c>
      <c r="G7" s="87">
        <v>0.56000000000000005</v>
      </c>
      <c r="H7" s="87"/>
      <c r="I7" s="111">
        <f>E7</f>
        <v>2.2320000000000002</v>
      </c>
      <c r="J7" s="113">
        <f>I7-H7-H8</f>
        <v>2.2320000000000002</v>
      </c>
    </row>
    <row r="8" spans="1:11" ht="63" customHeight="1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2">
        <v>2.2320000000000002</v>
      </c>
      <c r="F8" s="9" t="s">
        <v>21</v>
      </c>
      <c r="G8" s="90">
        <v>1.1610000000000001E-3</v>
      </c>
      <c r="H8" s="90"/>
      <c r="I8" s="112"/>
      <c r="J8" s="114"/>
    </row>
    <row r="9" spans="1:11" ht="63" customHeight="1" x14ac:dyDescent="0.25">
      <c r="A9" s="17">
        <v>4</v>
      </c>
      <c r="B9" s="18" t="s">
        <v>17</v>
      </c>
      <c r="C9" s="18" t="s">
        <v>6</v>
      </c>
      <c r="D9" s="18" t="s">
        <v>9</v>
      </c>
      <c r="E9" s="111">
        <f>15/1000*24*31</f>
        <v>11.16</v>
      </c>
      <c r="F9" s="18" t="s">
        <v>22</v>
      </c>
      <c r="G9" s="88">
        <v>0.18</v>
      </c>
      <c r="H9" s="87"/>
      <c r="I9" s="115">
        <f>E9</f>
        <v>11.16</v>
      </c>
      <c r="J9" s="113">
        <f>I9-H9-H10-H11-H12-H13-H14-H15</f>
        <v>11.16</v>
      </c>
    </row>
    <row r="10" spans="1:11" ht="63" customHeight="1" x14ac:dyDescent="0.25">
      <c r="A10" s="24">
        <v>5</v>
      </c>
      <c r="B10" s="25" t="s">
        <v>17</v>
      </c>
      <c r="C10" s="25" t="s">
        <v>6</v>
      </c>
      <c r="D10" s="25" t="s">
        <v>9</v>
      </c>
      <c r="E10" s="134"/>
      <c r="F10" s="25" t="s">
        <v>29</v>
      </c>
      <c r="G10" s="89">
        <v>1.1999999999999999E-3</v>
      </c>
      <c r="H10" s="88"/>
      <c r="I10" s="116"/>
      <c r="J10" s="122"/>
    </row>
    <row r="11" spans="1:11" ht="63" customHeight="1" x14ac:dyDescent="0.25">
      <c r="A11" s="7">
        <v>6</v>
      </c>
      <c r="B11" s="12" t="s">
        <v>17</v>
      </c>
      <c r="C11" s="12" t="s">
        <v>6</v>
      </c>
      <c r="D11" s="12" t="s">
        <v>9</v>
      </c>
      <c r="E11" s="134"/>
      <c r="F11" s="12" t="s">
        <v>23</v>
      </c>
      <c r="G11" s="89">
        <v>1E-3</v>
      </c>
      <c r="H11" s="89"/>
      <c r="I11" s="117"/>
      <c r="J11" s="122"/>
    </row>
    <row r="12" spans="1:11" ht="63" customHeight="1" x14ac:dyDescent="0.25">
      <c r="A12" s="7">
        <v>7</v>
      </c>
      <c r="B12" s="12" t="s">
        <v>17</v>
      </c>
      <c r="C12" s="12" t="s">
        <v>6</v>
      </c>
      <c r="D12" s="12" t="s">
        <v>9</v>
      </c>
      <c r="E12" s="134"/>
      <c r="F12" s="12" t="s">
        <v>24</v>
      </c>
      <c r="G12" s="89">
        <v>6.9999999999999999E-4</v>
      </c>
      <c r="H12" s="89"/>
      <c r="I12" s="117"/>
      <c r="J12" s="122"/>
    </row>
    <row r="13" spans="1:11" ht="63" customHeight="1" x14ac:dyDescent="0.25">
      <c r="A13" s="7">
        <v>8</v>
      </c>
      <c r="B13" s="12" t="s">
        <v>17</v>
      </c>
      <c r="C13" s="12" t="s">
        <v>6</v>
      </c>
      <c r="D13" s="12" t="s">
        <v>9</v>
      </c>
      <c r="E13" s="134"/>
      <c r="F13" s="12" t="s">
        <v>25</v>
      </c>
      <c r="G13" s="89">
        <v>1.5E-3</v>
      </c>
      <c r="H13" s="89"/>
      <c r="I13" s="117"/>
      <c r="J13" s="122"/>
    </row>
    <row r="14" spans="1:11" ht="63" customHeight="1" x14ac:dyDescent="0.25">
      <c r="A14" s="7">
        <v>9</v>
      </c>
      <c r="B14" s="12" t="s">
        <v>17</v>
      </c>
      <c r="C14" s="12" t="s">
        <v>6</v>
      </c>
      <c r="D14" s="12" t="s">
        <v>9</v>
      </c>
      <c r="E14" s="134"/>
      <c r="F14" s="12" t="s">
        <v>26</v>
      </c>
      <c r="G14" s="89">
        <v>2E-3</v>
      </c>
      <c r="H14" s="89"/>
      <c r="I14" s="117"/>
      <c r="J14" s="122"/>
    </row>
    <row r="15" spans="1:11" ht="102.75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2"/>
      <c r="F15" s="9" t="s">
        <v>27</v>
      </c>
      <c r="G15" s="90">
        <v>3.7280000000000004E-3</v>
      </c>
      <c r="H15" s="90"/>
      <c r="I15" s="118"/>
      <c r="J15" s="114"/>
    </row>
    <row r="16" spans="1:11" ht="63" customHeight="1" x14ac:dyDescent="0.25"/>
    <row r="17" ht="63" customHeight="1" x14ac:dyDescent="0.25"/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70" zoomScaleNormal="70" zoomScalePageLayoutView="140" workbookViewId="0">
      <pane ySplit="5" topLeftCell="A9" activePane="bottomLeft" state="frozen"/>
      <selection pane="bottomLeft" activeCell="T9" sqref="T9"/>
    </sheetView>
  </sheetViews>
  <sheetFormatPr defaultRowHeight="63" customHeight="1" x14ac:dyDescent="0.25"/>
  <cols>
    <col min="1" max="7" width="14.7109375" style="1" customWidth="1"/>
    <col min="8" max="8" width="16.28515625" style="1" customWidth="1"/>
    <col min="9" max="10" width="15.7109375" style="1" customWidth="1"/>
    <col min="11" max="16384" width="9.140625" style="1"/>
  </cols>
  <sheetData>
    <row r="1" spans="1:11" ht="63" customHeight="1" x14ac:dyDescent="0.25">
      <c r="I1" s="110" t="s">
        <v>28</v>
      </c>
      <c r="J1" s="110"/>
    </row>
    <row r="2" spans="1:11" ht="85.5" customHeight="1" x14ac:dyDescent="0.25">
      <c r="A2" s="125" t="s">
        <v>51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1" ht="15" x14ac:dyDescent="0.25">
      <c r="A3" s="125" t="s">
        <v>30</v>
      </c>
      <c r="B3" s="126"/>
      <c r="C3" s="99"/>
      <c r="D3" s="99"/>
      <c r="E3" s="99"/>
      <c r="F3" s="99"/>
      <c r="G3" s="99"/>
      <c r="H3" s="99"/>
      <c r="I3" s="99"/>
      <c r="J3" s="99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" x14ac:dyDescent="0.25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6"/>
    </row>
    <row r="6" spans="1:11" ht="63.75" x14ac:dyDescent="0.25">
      <c r="A6" s="37">
        <v>1</v>
      </c>
      <c r="B6" s="12" t="s">
        <v>16</v>
      </c>
      <c r="C6" s="12" t="s">
        <v>16</v>
      </c>
      <c r="D6" s="12" t="s">
        <v>7</v>
      </c>
      <c r="E6" s="37">
        <f>1.5/1000*24*28</f>
        <v>1.008</v>
      </c>
      <c r="F6" s="12" t="s">
        <v>19</v>
      </c>
      <c r="G6" s="92">
        <f>203.5/1000</f>
        <v>0.20349999999999999</v>
      </c>
      <c r="H6" s="92">
        <f>[1]Лист2!$GB$36/1000</f>
        <v>0.146316</v>
      </c>
      <c r="I6" s="92">
        <f>E6</f>
        <v>1.008</v>
      </c>
      <c r="J6" s="92">
        <f>I6-H6</f>
        <v>0.86168400000000001</v>
      </c>
    </row>
    <row r="7" spans="1:11" ht="88.5" customHeight="1" x14ac:dyDescent="0.25">
      <c r="A7" s="37">
        <v>2</v>
      </c>
      <c r="B7" s="12" t="s">
        <v>18</v>
      </c>
      <c r="C7" s="12" t="s">
        <v>5</v>
      </c>
      <c r="D7" s="12" t="s">
        <v>8</v>
      </c>
      <c r="E7" s="125">
        <f>3/1000*24*28</f>
        <v>2.016</v>
      </c>
      <c r="F7" s="12" t="s">
        <v>20</v>
      </c>
      <c r="G7" s="92">
        <v>0.58510000000000006</v>
      </c>
      <c r="H7" s="92">
        <f>[1]Лист2!$FN$36/1000</f>
        <v>0.67679499999999992</v>
      </c>
      <c r="I7" s="117">
        <f>E7</f>
        <v>2.016</v>
      </c>
      <c r="J7" s="117">
        <f>I7-H7-H8</f>
        <v>1.3377290000000002</v>
      </c>
    </row>
    <row r="8" spans="1:11" ht="63" customHeight="1" x14ac:dyDescent="0.25">
      <c r="A8" s="37">
        <v>3</v>
      </c>
      <c r="B8" s="12" t="s">
        <v>18</v>
      </c>
      <c r="C8" s="12" t="s">
        <v>5</v>
      </c>
      <c r="D8" s="12" t="s">
        <v>8</v>
      </c>
      <c r="E8" s="125">
        <v>2.2320000000000002</v>
      </c>
      <c r="F8" s="12" t="s">
        <v>21</v>
      </c>
      <c r="G8" s="92">
        <v>1.121E-3</v>
      </c>
      <c r="H8" s="92">
        <f>[1]Лист2!$FQ$36/1000</f>
        <v>1.4759999999999999E-3</v>
      </c>
      <c r="I8" s="117"/>
      <c r="J8" s="117"/>
    </row>
    <row r="9" spans="1:11" ht="63" customHeight="1" x14ac:dyDescent="0.25">
      <c r="A9" s="37">
        <v>4</v>
      </c>
      <c r="B9" s="12" t="s">
        <v>17</v>
      </c>
      <c r="C9" s="12" t="s">
        <v>6</v>
      </c>
      <c r="D9" s="12" t="s">
        <v>9</v>
      </c>
      <c r="E9" s="125">
        <f>15/1000*24*28</f>
        <v>10.08</v>
      </c>
      <c r="F9" s="12" t="s">
        <v>22</v>
      </c>
      <c r="G9" s="92">
        <v>0.18</v>
      </c>
      <c r="H9" s="92">
        <f>[1]Лист2!$GL$36/1000</f>
        <v>0.16683500000000004</v>
      </c>
      <c r="I9" s="117">
        <f>E9</f>
        <v>10.08</v>
      </c>
      <c r="J9" s="117">
        <f>I9-H9-H10-H11-H12-H13-H14-H15</f>
        <v>9.903556</v>
      </c>
    </row>
    <row r="10" spans="1:11" ht="63" customHeight="1" x14ac:dyDescent="0.25">
      <c r="A10" s="37">
        <v>5</v>
      </c>
      <c r="B10" s="12" t="s">
        <v>17</v>
      </c>
      <c r="C10" s="12" t="s">
        <v>6</v>
      </c>
      <c r="D10" s="12" t="s">
        <v>9</v>
      </c>
      <c r="E10" s="125"/>
      <c r="F10" s="12" t="s">
        <v>29</v>
      </c>
      <c r="G10" s="92">
        <v>1E-3</v>
      </c>
      <c r="H10" s="92">
        <f>[2]Лист2!$J$146/1000</f>
        <v>5.9800000000000001E-4</v>
      </c>
      <c r="I10" s="117"/>
      <c r="J10" s="117"/>
    </row>
    <row r="11" spans="1:11" ht="63" customHeight="1" x14ac:dyDescent="0.25">
      <c r="A11" s="37">
        <v>6</v>
      </c>
      <c r="B11" s="12" t="s">
        <v>17</v>
      </c>
      <c r="C11" s="12" t="s">
        <v>6</v>
      </c>
      <c r="D11" s="12" t="s">
        <v>9</v>
      </c>
      <c r="E11" s="125"/>
      <c r="F11" s="12" t="s">
        <v>23</v>
      </c>
      <c r="G11" s="92">
        <v>1.4E-3</v>
      </c>
      <c r="H11" s="92">
        <f>[2]Лист2!$J$75/1000</f>
        <v>0</v>
      </c>
      <c r="I11" s="117"/>
      <c r="J11" s="117"/>
    </row>
    <row r="12" spans="1:11" ht="63" customHeight="1" x14ac:dyDescent="0.25">
      <c r="A12" s="37">
        <v>7</v>
      </c>
      <c r="B12" s="12" t="s">
        <v>17</v>
      </c>
      <c r="C12" s="12" t="s">
        <v>6</v>
      </c>
      <c r="D12" s="12" t="s">
        <v>9</v>
      </c>
      <c r="E12" s="125"/>
      <c r="F12" s="12" t="s">
        <v>24</v>
      </c>
      <c r="G12" s="92">
        <v>1.9E-3</v>
      </c>
      <c r="H12" s="92">
        <f>([2]Лист2!$J$150+[2]Лист2!$J$151)/1000</f>
        <v>1.882E-3</v>
      </c>
      <c r="I12" s="117"/>
      <c r="J12" s="117"/>
    </row>
    <row r="13" spans="1:11" ht="63" customHeight="1" x14ac:dyDescent="0.25">
      <c r="A13" s="37">
        <v>8</v>
      </c>
      <c r="B13" s="12" t="s">
        <v>17</v>
      </c>
      <c r="C13" s="12" t="s">
        <v>6</v>
      </c>
      <c r="D13" s="12" t="s">
        <v>9</v>
      </c>
      <c r="E13" s="125"/>
      <c r="F13" s="12" t="s">
        <v>25</v>
      </c>
      <c r="G13" s="92">
        <v>0</v>
      </c>
      <c r="H13" s="92">
        <f>[2]Лист2!$J$147/1000</f>
        <v>1.2330000000000002E-3</v>
      </c>
      <c r="I13" s="117"/>
      <c r="J13" s="117"/>
    </row>
    <row r="14" spans="1:11" ht="63" customHeight="1" x14ac:dyDescent="0.25">
      <c r="A14" s="37">
        <v>9</v>
      </c>
      <c r="B14" s="12" t="s">
        <v>17</v>
      </c>
      <c r="C14" s="12" t="s">
        <v>6</v>
      </c>
      <c r="D14" s="12" t="s">
        <v>9</v>
      </c>
      <c r="E14" s="125"/>
      <c r="F14" s="12" t="s">
        <v>26</v>
      </c>
      <c r="G14" s="92">
        <v>8.0000000000000004E-4</v>
      </c>
      <c r="H14" s="92">
        <f>([2]Лист2!$J$104+[2]Лист2!$J$105)/1000</f>
        <v>9.2200000000000008E-4</v>
      </c>
      <c r="I14" s="117"/>
      <c r="J14" s="117"/>
    </row>
    <row r="15" spans="1:11" ht="102" x14ac:dyDescent="0.25">
      <c r="A15" s="37">
        <v>10</v>
      </c>
      <c r="B15" s="12" t="s">
        <v>17</v>
      </c>
      <c r="C15" s="12" t="s">
        <v>6</v>
      </c>
      <c r="D15" s="12" t="s">
        <v>9</v>
      </c>
      <c r="E15" s="125"/>
      <c r="F15" s="12" t="s">
        <v>27</v>
      </c>
      <c r="G15" s="92">
        <v>4.0959999999999998E-3</v>
      </c>
      <c r="H15" s="92">
        <f>[1]Лист2!$GM$36/1000</f>
        <v>4.9740000000000001E-3</v>
      </c>
      <c r="I15" s="117"/>
      <c r="J15" s="117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8" zoomScale="70" zoomScaleNormal="70" workbookViewId="0">
      <selection activeCell="G9" sqref="G9:G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0" t="s">
        <v>28</v>
      </c>
      <c r="J1" s="110"/>
    </row>
    <row r="2" spans="1:11" ht="85.5" customHeight="1" x14ac:dyDescent="0.25">
      <c r="A2" s="107" t="s">
        <v>50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1" x14ac:dyDescent="0.25">
      <c r="A3" s="123" t="s">
        <v>31</v>
      </c>
      <c r="B3" s="124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7" t="s">
        <v>0</v>
      </c>
      <c r="B4" s="98" t="s">
        <v>1</v>
      </c>
      <c r="C4" s="98" t="s">
        <v>2</v>
      </c>
      <c r="D4" s="98" t="s">
        <v>3</v>
      </c>
      <c r="E4" s="98" t="s">
        <v>10</v>
      </c>
      <c r="F4" s="98" t="s">
        <v>15</v>
      </c>
      <c r="G4" s="98" t="s">
        <v>11</v>
      </c>
      <c r="H4" s="38" t="s">
        <v>12</v>
      </c>
      <c r="I4" s="38" t="s">
        <v>13</v>
      </c>
      <c r="J4" s="104" t="s">
        <v>14</v>
      </c>
    </row>
    <row r="5" spans="1:11" ht="15.75" thickBot="1" x14ac:dyDescent="0.3">
      <c r="A5" s="105">
        <v>1</v>
      </c>
      <c r="B5" s="97">
        <v>2</v>
      </c>
      <c r="C5" s="97">
        <v>3</v>
      </c>
      <c r="D5" s="97">
        <v>4</v>
      </c>
      <c r="E5" s="97">
        <v>5</v>
      </c>
      <c r="F5" s="97">
        <v>6</v>
      </c>
      <c r="G5" s="97">
        <v>7</v>
      </c>
      <c r="H5" s="97">
        <v>8</v>
      </c>
      <c r="I5" s="97">
        <v>9</v>
      </c>
      <c r="J5" s="106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5">
        <f>1.5/1000*24*28</f>
        <v>1.008</v>
      </c>
      <c r="F6" s="16" t="s">
        <v>19</v>
      </c>
      <c r="G6" s="19">
        <v>0.21030000000000001</v>
      </c>
      <c r="H6" s="19">
        <v>0.18762700000000002</v>
      </c>
      <c r="I6" s="19">
        <f>E6</f>
        <v>1.008</v>
      </c>
      <c r="J6" s="20">
        <f>I6-H6</f>
        <v>0.82037300000000002</v>
      </c>
    </row>
    <row r="7" spans="1:11" ht="76.5" x14ac:dyDescent="0.25">
      <c r="A7" s="17">
        <v>2</v>
      </c>
      <c r="B7" s="18" t="s">
        <v>18</v>
      </c>
      <c r="C7" s="18" t="s">
        <v>5</v>
      </c>
      <c r="D7" s="18" t="s">
        <v>8</v>
      </c>
      <c r="E7" s="132">
        <f>3/1000*24*28</f>
        <v>2.016</v>
      </c>
      <c r="F7" s="18" t="s">
        <v>20</v>
      </c>
      <c r="G7" s="93">
        <v>0.4894</v>
      </c>
      <c r="H7" s="93">
        <v>0.51366299999999998</v>
      </c>
      <c r="I7" s="115">
        <f>E7</f>
        <v>2.016</v>
      </c>
      <c r="J7" s="133">
        <f>I7-H7-H8</f>
        <v>1.501336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28">
        <v>2.2320000000000002</v>
      </c>
      <c r="F8" s="9" t="s">
        <v>21</v>
      </c>
      <c r="G8" s="96">
        <v>1.0009999999999999E-3</v>
      </c>
      <c r="H8" s="96">
        <v>1.0009999999999999E-3</v>
      </c>
      <c r="I8" s="118"/>
      <c r="J8" s="131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27">
        <f>15/1000*24*28</f>
        <v>10.08</v>
      </c>
      <c r="F9" s="25" t="s">
        <v>22</v>
      </c>
      <c r="G9" s="94">
        <v>0.14000000000000001</v>
      </c>
      <c r="H9" s="94">
        <v>0.130686</v>
      </c>
      <c r="I9" s="116">
        <f>E9</f>
        <v>10.08</v>
      </c>
      <c r="J9" s="129">
        <f>I9-H9-H10-H11-H12-H13-H14-H15</f>
        <v>9.9409419999999997</v>
      </c>
    </row>
    <row r="10" spans="1:11" ht="89.25" x14ac:dyDescent="0.25">
      <c r="A10" s="7">
        <v>5</v>
      </c>
      <c r="B10" s="12" t="s">
        <v>17</v>
      </c>
      <c r="C10" s="12" t="s">
        <v>6</v>
      </c>
      <c r="D10" s="12" t="s">
        <v>9</v>
      </c>
      <c r="E10" s="125"/>
      <c r="F10" s="12" t="s">
        <v>29</v>
      </c>
      <c r="G10" s="95">
        <v>6.9999999999999999E-4</v>
      </c>
      <c r="H10" s="95">
        <v>4.0699999999999997E-4</v>
      </c>
      <c r="I10" s="117"/>
      <c r="J10" s="130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25"/>
      <c r="F11" s="12" t="s">
        <v>23</v>
      </c>
      <c r="G11" s="95">
        <v>1.1999999999999999E-3</v>
      </c>
      <c r="H11" s="95">
        <v>2.2859999999999998E-3</v>
      </c>
      <c r="I11" s="117"/>
      <c r="J11" s="130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25"/>
      <c r="F12" s="12" t="s">
        <v>24</v>
      </c>
      <c r="G12" s="95">
        <v>1.6999999999999999E-3</v>
      </c>
      <c r="H12" s="95">
        <v>1.3140000000000001E-3</v>
      </c>
      <c r="I12" s="117"/>
      <c r="J12" s="130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25"/>
      <c r="F13" s="12" t="s">
        <v>25</v>
      </c>
      <c r="G13" s="95">
        <v>0</v>
      </c>
      <c r="H13" s="95">
        <v>0</v>
      </c>
      <c r="I13" s="117"/>
      <c r="J13" s="130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25"/>
      <c r="F14" s="12" t="s">
        <v>26</v>
      </c>
      <c r="G14" s="95">
        <v>8.0000000000000004E-4</v>
      </c>
      <c r="H14" s="95">
        <v>5.9199999999999997E-4</v>
      </c>
      <c r="I14" s="117"/>
      <c r="J14" s="130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28"/>
      <c r="F15" s="9" t="s">
        <v>27</v>
      </c>
      <c r="G15" s="96">
        <v>3.7730000000000003E-3</v>
      </c>
      <c r="H15" s="96">
        <v>3.7730000000000003E-3</v>
      </c>
      <c r="I15" s="118"/>
      <c r="J15" s="131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70" zoomScaleNormal="70" workbookViewId="0">
      <selection activeCell="H10" sqref="H10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0" t="s">
        <v>28</v>
      </c>
      <c r="J1" s="110"/>
    </row>
    <row r="2" spans="1:11" ht="85.5" customHeight="1" x14ac:dyDescent="0.25">
      <c r="A2" s="107" t="s">
        <v>49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1" x14ac:dyDescent="0.25">
      <c r="A3" s="123" t="s">
        <v>32</v>
      </c>
      <c r="B3" s="124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7" t="s">
        <v>0</v>
      </c>
      <c r="B4" s="103" t="s">
        <v>1</v>
      </c>
      <c r="C4" s="103" t="s">
        <v>2</v>
      </c>
      <c r="D4" s="103" t="s">
        <v>3</v>
      </c>
      <c r="E4" s="103" t="s">
        <v>10</v>
      </c>
      <c r="F4" s="103" t="s">
        <v>15</v>
      </c>
      <c r="G4" s="103" t="s">
        <v>11</v>
      </c>
      <c r="H4" s="38" t="s">
        <v>12</v>
      </c>
      <c r="I4" s="38" t="s">
        <v>13</v>
      </c>
      <c r="J4" s="104" t="s">
        <v>14</v>
      </c>
    </row>
    <row r="5" spans="1:11" ht="15.75" thickBot="1" x14ac:dyDescent="0.3">
      <c r="A5" s="14">
        <v>1</v>
      </c>
      <c r="B5" s="102">
        <v>2</v>
      </c>
      <c r="C5" s="102">
        <v>3</v>
      </c>
      <c r="D5" s="102">
        <v>4</v>
      </c>
      <c r="E5" s="102">
        <v>5</v>
      </c>
      <c r="F5" s="102">
        <v>6</v>
      </c>
      <c r="G5" s="102">
        <v>7</v>
      </c>
      <c r="H5" s="102">
        <v>8</v>
      </c>
      <c r="I5" s="102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5">
        <f>1.5/1000*24*30</f>
        <v>1.08</v>
      </c>
      <c r="F6" s="16" t="s">
        <v>19</v>
      </c>
      <c r="G6" s="19">
        <v>0.1691</v>
      </c>
      <c r="H6" s="19">
        <v>0.15972999999999998</v>
      </c>
      <c r="I6" s="19">
        <f>E6</f>
        <v>1.08</v>
      </c>
      <c r="J6" s="20">
        <f>I6-H6</f>
        <v>0.92027000000000014</v>
      </c>
    </row>
    <row r="7" spans="1:11" ht="76.5" x14ac:dyDescent="0.25">
      <c r="A7" s="24">
        <v>2</v>
      </c>
      <c r="B7" s="25" t="s">
        <v>18</v>
      </c>
      <c r="C7" s="25" t="s">
        <v>5</v>
      </c>
      <c r="D7" s="25" t="s">
        <v>8</v>
      </c>
      <c r="E7" s="121">
        <f>3/1000*24*30</f>
        <v>2.16</v>
      </c>
      <c r="F7" s="25" t="s">
        <v>20</v>
      </c>
      <c r="G7" s="101">
        <v>0.4194</v>
      </c>
      <c r="H7" s="101">
        <v>0.438245</v>
      </c>
      <c r="I7" s="134">
        <f>E7</f>
        <v>2.16</v>
      </c>
      <c r="J7" s="122">
        <f>I7-H7-H8</f>
        <v>1.7208420000000002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20">
        <v>2.2320000000000002</v>
      </c>
      <c r="F8" s="9" t="s">
        <v>21</v>
      </c>
      <c r="G8" s="100">
        <v>9.1300000000000007E-4</v>
      </c>
      <c r="H8" s="100">
        <v>9.1300000000000007E-4</v>
      </c>
      <c r="I8" s="112"/>
      <c r="J8" s="114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21">
        <f>15/1000*24*30</f>
        <v>10.799999999999999</v>
      </c>
      <c r="F9" s="25" t="s">
        <v>22</v>
      </c>
      <c r="G9" s="32">
        <v>0.09</v>
      </c>
      <c r="H9" s="32">
        <v>0.10081900000000001</v>
      </c>
      <c r="I9" s="116">
        <f>E9</f>
        <v>10.799999999999999</v>
      </c>
      <c r="J9" s="122">
        <f>I9-H9-H10-H11-H12-H13-H14-H15</f>
        <v>10.693706999999998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21"/>
      <c r="F10" s="25" t="s">
        <v>29</v>
      </c>
      <c r="G10" s="45">
        <v>2.9999999999999997E-4</v>
      </c>
      <c r="H10" s="45">
        <v>2.9399999999999999E-4</v>
      </c>
      <c r="I10" s="116"/>
      <c r="J10" s="122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21"/>
      <c r="F11" s="12" t="s">
        <v>23</v>
      </c>
      <c r="G11" s="33">
        <v>0</v>
      </c>
      <c r="H11" s="33">
        <v>8.1099999999999998E-4</v>
      </c>
      <c r="I11" s="117"/>
      <c r="J11" s="122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21"/>
      <c r="F12" s="12" t="s">
        <v>24</v>
      </c>
      <c r="G12" s="33">
        <v>1.1999999999999999E-3</v>
      </c>
      <c r="H12" s="33">
        <v>8.6700000000000004E-4</v>
      </c>
      <c r="I12" s="117"/>
      <c r="J12" s="122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21"/>
      <c r="F13" s="12" t="s">
        <v>25</v>
      </c>
      <c r="G13" s="33">
        <v>6.0499999999999996E-4</v>
      </c>
      <c r="H13" s="33">
        <v>0</v>
      </c>
      <c r="I13" s="117"/>
      <c r="J13" s="122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21"/>
      <c r="F14" s="12" t="s">
        <v>26</v>
      </c>
      <c r="G14" s="33">
        <v>2.9999999999999997E-4</v>
      </c>
      <c r="H14" s="33">
        <v>3.39E-4</v>
      </c>
      <c r="I14" s="117"/>
      <c r="J14" s="122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20"/>
      <c r="F15" s="9" t="s">
        <v>27</v>
      </c>
      <c r="G15" s="34">
        <v>3.163E-3</v>
      </c>
      <c r="H15" s="34">
        <v>3.163E-3</v>
      </c>
      <c r="I15" s="118"/>
      <c r="J15" s="114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7" zoomScale="70" zoomScaleNormal="70" workbookViewId="0">
      <selection activeCell="AB11" sqref="AB11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0" t="s">
        <v>28</v>
      </c>
      <c r="J1" s="110"/>
    </row>
    <row r="2" spans="1:11" ht="85.5" customHeight="1" x14ac:dyDescent="0.25">
      <c r="A2" s="107" t="s">
        <v>48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1" x14ac:dyDescent="0.25">
      <c r="A3" s="123" t="s">
        <v>33</v>
      </c>
      <c r="B3" s="124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43">
        <f>1.5/1000*24*31</f>
        <v>1.1160000000000001</v>
      </c>
      <c r="F6" s="36" t="s">
        <v>19</v>
      </c>
      <c r="G6" s="39">
        <v>0.1454</v>
      </c>
      <c r="H6" s="39">
        <v>0.143063</v>
      </c>
      <c r="I6" s="39">
        <f>E6</f>
        <v>1.1160000000000001</v>
      </c>
      <c r="J6" s="40">
        <f>I6-H6</f>
        <v>0.97293700000000016</v>
      </c>
    </row>
    <row r="7" spans="1:11" ht="76.5" x14ac:dyDescent="0.25">
      <c r="A7" s="17">
        <v>2</v>
      </c>
      <c r="B7" s="18" t="s">
        <v>18</v>
      </c>
      <c r="C7" s="18" t="s">
        <v>5</v>
      </c>
      <c r="D7" s="18" t="s">
        <v>8</v>
      </c>
      <c r="E7" s="119">
        <f>3/1000*24*31</f>
        <v>2.2320000000000002</v>
      </c>
      <c r="F7" s="18" t="s">
        <v>20</v>
      </c>
      <c r="G7" s="41">
        <v>0.38579999999999998</v>
      </c>
      <c r="H7" s="41">
        <v>0.33078800000000003</v>
      </c>
      <c r="I7" s="111">
        <f>E7</f>
        <v>2.2320000000000002</v>
      </c>
      <c r="J7" s="113">
        <f>I7-H7-H8</f>
        <v>1.9005080000000001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20">
        <v>2.2320000000000002</v>
      </c>
      <c r="F8" s="9" t="s">
        <v>21</v>
      </c>
      <c r="G8" s="42">
        <v>7.0399999999999998E-4</v>
      </c>
      <c r="H8" s="42">
        <v>7.0399999999999998E-4</v>
      </c>
      <c r="I8" s="112"/>
      <c r="J8" s="114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21">
        <f>15/1000*24*31</f>
        <v>11.16</v>
      </c>
      <c r="F9" s="25" t="s">
        <v>22</v>
      </c>
      <c r="G9" s="51">
        <v>0.02</v>
      </c>
      <c r="H9" s="51">
        <f>33.86/1000</f>
        <v>3.3860000000000001E-2</v>
      </c>
      <c r="I9" s="116">
        <f>E9</f>
        <v>11.16</v>
      </c>
      <c r="J9" s="122">
        <f>I9-H9-H10-H11-H12-H13-H14-H15</f>
        <v>11.122135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21"/>
      <c r="F10" s="25" t="s">
        <v>29</v>
      </c>
      <c r="G10" s="52">
        <v>0</v>
      </c>
      <c r="H10" s="52">
        <v>0</v>
      </c>
      <c r="I10" s="116"/>
      <c r="J10" s="122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21"/>
      <c r="F11" s="12" t="s">
        <v>23</v>
      </c>
      <c r="G11" s="53">
        <v>0</v>
      </c>
      <c r="H11" s="53">
        <f>0.218/1000</f>
        <v>2.1799999999999999E-4</v>
      </c>
      <c r="I11" s="117"/>
      <c r="J11" s="122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21"/>
      <c r="F12" s="12" t="s">
        <v>24</v>
      </c>
      <c r="G12" s="53">
        <v>4.0000000000000002E-4</v>
      </c>
      <c r="H12" s="53">
        <f>0.378/1000</f>
        <v>3.7800000000000003E-4</v>
      </c>
      <c r="I12" s="117"/>
      <c r="J12" s="122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21"/>
      <c r="F13" s="12" t="s">
        <v>25</v>
      </c>
      <c r="G13" s="53">
        <v>0</v>
      </c>
      <c r="H13" s="53">
        <v>0</v>
      </c>
      <c r="I13" s="117"/>
      <c r="J13" s="122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21"/>
      <c r="F14" s="12" t="s">
        <v>26</v>
      </c>
      <c r="G14" s="53">
        <v>0</v>
      </c>
      <c r="H14" s="53">
        <f>0.202/1000</f>
        <v>2.02E-4</v>
      </c>
      <c r="I14" s="117"/>
      <c r="J14" s="122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20"/>
      <c r="F15" s="9" t="s">
        <v>27</v>
      </c>
      <c r="G15" s="54">
        <f>3.207/1000</f>
        <v>3.2069999999999998E-3</v>
      </c>
      <c r="H15" s="54">
        <f>3.207/1000</f>
        <v>3.2069999999999998E-3</v>
      </c>
      <c r="I15" s="118"/>
      <c r="J15" s="114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2" zoomScale="85" zoomScaleNormal="85" workbookViewId="0">
      <selection activeCell="J9" sqref="J9:J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0" t="s">
        <v>28</v>
      </c>
      <c r="J1" s="110"/>
    </row>
    <row r="2" spans="1:11" ht="85.5" customHeight="1" x14ac:dyDescent="0.25">
      <c r="A2" s="107" t="s">
        <v>47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1" x14ac:dyDescent="0.25">
      <c r="A3" s="123" t="s">
        <v>34</v>
      </c>
      <c r="B3" s="124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  <c r="H5" s="50">
        <v>8</v>
      </c>
      <c r="I5" s="50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46">
        <f>1.5/1000*24*30</f>
        <v>1.08</v>
      </c>
      <c r="F6" s="36" t="s">
        <v>19</v>
      </c>
      <c r="G6" s="46">
        <f>100/1000</f>
        <v>0.1</v>
      </c>
      <c r="H6" s="46"/>
      <c r="I6" s="46">
        <f>E6</f>
        <v>1.08</v>
      </c>
      <c r="J6" s="47">
        <f>I6-H6</f>
        <v>1.08</v>
      </c>
    </row>
    <row r="7" spans="1:11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1">
        <f>3/1000*24*30</f>
        <v>2.16</v>
      </c>
      <c r="F7" s="18" t="s">
        <v>20</v>
      </c>
      <c r="G7" s="48">
        <f>214.1/1000</f>
        <v>0.21409999999999998</v>
      </c>
      <c r="H7" s="48"/>
      <c r="I7" s="111">
        <f>E7</f>
        <v>2.16</v>
      </c>
      <c r="J7" s="113">
        <f>I7-H7-H8</f>
        <v>2.16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2">
        <v>2.2320000000000002</v>
      </c>
      <c r="F8" s="9" t="s">
        <v>21</v>
      </c>
      <c r="G8" s="49">
        <v>8.0900000000000004E-4</v>
      </c>
      <c r="H8" s="49"/>
      <c r="I8" s="112"/>
      <c r="J8" s="114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34">
        <f>15/1000*24*30</f>
        <v>10.799999999999999</v>
      </c>
      <c r="F9" s="25" t="s">
        <v>22</v>
      </c>
      <c r="G9" s="51">
        <v>0</v>
      </c>
      <c r="H9" s="51"/>
      <c r="I9" s="116">
        <f>E9</f>
        <v>10.799999999999999</v>
      </c>
      <c r="J9" s="122">
        <f>I9-H9-H10-H11-H12-H13-H14-H15</f>
        <v>10.799999999999999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34"/>
      <c r="F10" s="25" t="s">
        <v>29</v>
      </c>
      <c r="G10" s="52">
        <v>0</v>
      </c>
      <c r="H10" s="52"/>
      <c r="I10" s="116"/>
      <c r="J10" s="122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34"/>
      <c r="F11" s="12" t="s">
        <v>23</v>
      </c>
      <c r="G11" s="53">
        <v>0</v>
      </c>
      <c r="H11" s="53"/>
      <c r="I11" s="117"/>
      <c r="J11" s="122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34"/>
      <c r="F12" s="12" t="s">
        <v>24</v>
      </c>
      <c r="G12" s="53">
        <v>0</v>
      </c>
      <c r="H12" s="53"/>
      <c r="I12" s="117"/>
      <c r="J12" s="122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34"/>
      <c r="F13" s="12" t="s">
        <v>25</v>
      </c>
      <c r="G13" s="53">
        <v>0</v>
      </c>
      <c r="H13" s="53"/>
      <c r="I13" s="117"/>
      <c r="J13" s="122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34"/>
      <c r="F14" s="12" t="s">
        <v>26</v>
      </c>
      <c r="G14" s="53">
        <v>0</v>
      </c>
      <c r="H14" s="53"/>
      <c r="I14" s="117"/>
      <c r="J14" s="122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2"/>
      <c r="F15" s="9" t="s">
        <v>27</v>
      </c>
      <c r="G15" s="54">
        <f>1.954/1000</f>
        <v>1.954E-3</v>
      </c>
      <c r="H15" s="54"/>
      <c r="I15" s="118"/>
      <c r="J15" s="114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2" zoomScale="85" zoomScaleNormal="85" workbookViewId="0">
      <selection activeCell="J7" sqref="J7:J8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0" t="s">
        <v>28</v>
      </c>
      <c r="J1" s="110"/>
    </row>
    <row r="2" spans="1:11" ht="85.5" customHeight="1" x14ac:dyDescent="0.25">
      <c r="A2" s="107" t="s">
        <v>46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1" x14ac:dyDescent="0.25">
      <c r="A3" s="123" t="s">
        <v>35</v>
      </c>
      <c r="B3" s="124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55">
        <f>1.5/1000*24*30</f>
        <v>1.08</v>
      </c>
      <c r="F6" s="36" t="s">
        <v>19</v>
      </c>
      <c r="G6" s="55">
        <v>9.01E-2</v>
      </c>
      <c r="H6" s="55"/>
      <c r="I6" s="55">
        <f>E6</f>
        <v>1.08</v>
      </c>
      <c r="J6" s="56">
        <f>I6-H6</f>
        <v>1.08</v>
      </c>
    </row>
    <row r="7" spans="1:11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1">
        <f>3/1000*24*30</f>
        <v>2.16</v>
      </c>
      <c r="F7" s="18" t="s">
        <v>20</v>
      </c>
      <c r="G7" s="57">
        <v>0.22340000000000002</v>
      </c>
      <c r="H7" s="57"/>
      <c r="I7" s="111">
        <f>E7</f>
        <v>2.16</v>
      </c>
      <c r="J7" s="113">
        <f>I7-H7-H8</f>
        <v>2.16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2">
        <v>2.2320000000000002</v>
      </c>
      <c r="F8" s="9" t="s">
        <v>21</v>
      </c>
      <c r="G8" s="58">
        <v>8.0900000000000004E-4</v>
      </c>
      <c r="H8" s="58"/>
      <c r="I8" s="112"/>
      <c r="J8" s="114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34">
        <f>15/1000*24*30</f>
        <v>10.799999999999999</v>
      </c>
      <c r="F9" s="25" t="s">
        <v>22</v>
      </c>
      <c r="G9" s="51">
        <v>0</v>
      </c>
      <c r="H9" s="51"/>
      <c r="I9" s="116">
        <f>E9</f>
        <v>10.799999999999999</v>
      </c>
      <c r="J9" s="122">
        <f>I9-H9-H10-H11-H12-H13-H14-H15</f>
        <v>10.799999999999999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34"/>
      <c r="F10" s="25" t="s">
        <v>29</v>
      </c>
      <c r="G10" s="52">
        <v>0</v>
      </c>
      <c r="H10" s="52"/>
      <c r="I10" s="116"/>
      <c r="J10" s="122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34"/>
      <c r="F11" s="12" t="s">
        <v>23</v>
      </c>
      <c r="G11" s="53">
        <v>0</v>
      </c>
      <c r="H11" s="53"/>
      <c r="I11" s="117"/>
      <c r="J11" s="122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34"/>
      <c r="F12" s="12" t="s">
        <v>24</v>
      </c>
      <c r="G12" s="53">
        <v>0</v>
      </c>
      <c r="H12" s="53"/>
      <c r="I12" s="117"/>
      <c r="J12" s="122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34"/>
      <c r="F13" s="12" t="s">
        <v>25</v>
      </c>
      <c r="G13" s="53">
        <v>0</v>
      </c>
      <c r="H13" s="53"/>
      <c r="I13" s="117"/>
      <c r="J13" s="122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34"/>
      <c r="F14" s="12" t="s">
        <v>26</v>
      </c>
      <c r="G14" s="53">
        <v>0</v>
      </c>
      <c r="H14" s="53"/>
      <c r="I14" s="117"/>
      <c r="J14" s="122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2"/>
      <c r="F15" s="9" t="s">
        <v>27</v>
      </c>
      <c r="G15" s="54">
        <v>1.382E-3</v>
      </c>
      <c r="H15" s="54"/>
      <c r="I15" s="118"/>
      <c r="J15" s="114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2" workbookViewId="0">
      <selection activeCell="H6" sqref="H6:H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0" t="s">
        <v>28</v>
      </c>
      <c r="J1" s="110"/>
    </row>
    <row r="2" spans="1:11" ht="85.5" customHeight="1" x14ac:dyDescent="0.25">
      <c r="A2" s="107" t="s">
        <v>45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1" x14ac:dyDescent="0.25">
      <c r="A3" s="123" t="s">
        <v>36</v>
      </c>
      <c r="B3" s="124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4">
        <v>7</v>
      </c>
      <c r="H5" s="64">
        <v>8</v>
      </c>
      <c r="I5" s="64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60">
        <f>1.5/1000*24*31</f>
        <v>1.1160000000000001</v>
      </c>
      <c r="F6" s="36" t="s">
        <v>19</v>
      </c>
      <c r="G6" s="60">
        <v>9.2799999999999994E-2</v>
      </c>
      <c r="H6" s="60"/>
      <c r="I6" s="60">
        <f>E6</f>
        <v>1.1160000000000001</v>
      </c>
      <c r="J6" s="61">
        <f>I6-H6</f>
        <v>1.1160000000000001</v>
      </c>
    </row>
    <row r="7" spans="1:11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1">
        <f>3/1000*24*31</f>
        <v>2.2320000000000002</v>
      </c>
      <c r="F7" s="18" t="s">
        <v>20</v>
      </c>
      <c r="G7" s="62">
        <v>0.24840000000000001</v>
      </c>
      <c r="H7" s="62"/>
      <c r="I7" s="111">
        <f>E7</f>
        <v>2.2320000000000002</v>
      </c>
      <c r="J7" s="113">
        <f>I7-H7-H8</f>
        <v>2.2320000000000002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2">
        <v>2.2320000000000002</v>
      </c>
      <c r="F8" s="9" t="s">
        <v>21</v>
      </c>
      <c r="G8" s="63">
        <v>8.1599999999999999E-4</v>
      </c>
      <c r="H8" s="63"/>
      <c r="I8" s="112"/>
      <c r="J8" s="114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34">
        <f>15/1000*24*31</f>
        <v>11.16</v>
      </c>
      <c r="F9" s="25" t="s">
        <v>22</v>
      </c>
      <c r="G9" s="51">
        <v>0</v>
      </c>
      <c r="H9" s="51"/>
      <c r="I9" s="116">
        <f>E9</f>
        <v>11.16</v>
      </c>
      <c r="J9" s="122">
        <f>I9-H9-H10-H11-H12-H13-H14-H15</f>
        <v>11.16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34"/>
      <c r="F10" s="25" t="s">
        <v>29</v>
      </c>
      <c r="G10" s="52">
        <v>0</v>
      </c>
      <c r="H10" s="52"/>
      <c r="I10" s="116"/>
      <c r="J10" s="122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34"/>
      <c r="F11" s="12" t="s">
        <v>23</v>
      </c>
      <c r="G11" s="53">
        <v>0</v>
      </c>
      <c r="H11" s="53"/>
      <c r="I11" s="117"/>
      <c r="J11" s="122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34"/>
      <c r="F12" s="12" t="s">
        <v>24</v>
      </c>
      <c r="G12" s="53">
        <v>0</v>
      </c>
      <c r="H12" s="53"/>
      <c r="I12" s="117"/>
      <c r="J12" s="122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34"/>
      <c r="F13" s="12" t="s">
        <v>25</v>
      </c>
      <c r="G13" s="53">
        <v>0</v>
      </c>
      <c r="H13" s="53"/>
      <c r="I13" s="117"/>
      <c r="J13" s="122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34"/>
      <c r="F14" s="12" t="s">
        <v>26</v>
      </c>
      <c r="G14" s="53">
        <v>0</v>
      </c>
      <c r="H14" s="53"/>
      <c r="I14" s="117"/>
      <c r="J14" s="122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2"/>
      <c r="F15" s="9" t="s">
        <v>27</v>
      </c>
      <c r="G15" s="54">
        <v>1.4859999999999999E-3</v>
      </c>
      <c r="H15" s="54"/>
      <c r="I15" s="118"/>
      <c r="J15" s="114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12" zoomScale="85" zoomScaleNormal="85" workbookViewId="0">
      <selection activeCell="H15" sqref="H6:H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0" t="s">
        <v>28</v>
      </c>
      <c r="J1" s="110"/>
    </row>
    <row r="2" spans="1:11" ht="85.5" customHeight="1" x14ac:dyDescent="0.25">
      <c r="A2" s="107" t="s">
        <v>44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1" x14ac:dyDescent="0.25">
      <c r="A3" s="123" t="s">
        <v>37</v>
      </c>
      <c r="B3" s="124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69">
        <v>2</v>
      </c>
      <c r="C5" s="69">
        <v>3</v>
      </c>
      <c r="D5" s="69">
        <v>4</v>
      </c>
      <c r="E5" s="69">
        <v>5</v>
      </c>
      <c r="F5" s="69">
        <v>6</v>
      </c>
      <c r="G5" s="69">
        <v>7</v>
      </c>
      <c r="H5" s="69">
        <v>8</v>
      </c>
      <c r="I5" s="69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65">
        <f>1.5/1000*24*30</f>
        <v>1.08</v>
      </c>
      <c r="F6" s="36" t="s">
        <v>19</v>
      </c>
      <c r="G6" s="65">
        <f>152.4/1000</f>
        <v>0.15240000000000001</v>
      </c>
      <c r="H6" s="75"/>
      <c r="I6" s="65">
        <f>E6</f>
        <v>1.08</v>
      </c>
      <c r="J6" s="66">
        <f>I6-H6</f>
        <v>1.08</v>
      </c>
    </row>
    <row r="7" spans="1:11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1">
        <f>3/1000*24*30</f>
        <v>2.16</v>
      </c>
      <c r="F7" s="18" t="s">
        <v>20</v>
      </c>
      <c r="G7" s="67">
        <f>329.3/1000</f>
        <v>0.32930000000000004</v>
      </c>
      <c r="H7" s="76"/>
      <c r="I7" s="111">
        <f>E7</f>
        <v>2.16</v>
      </c>
      <c r="J7" s="113">
        <f>I7-H7-H8</f>
        <v>2.16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2">
        <v>2.2320000000000002</v>
      </c>
      <c r="F8" s="9" t="s">
        <v>21</v>
      </c>
      <c r="G8" s="68">
        <v>0</v>
      </c>
      <c r="H8" s="77"/>
      <c r="I8" s="112"/>
      <c r="J8" s="114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34">
        <f>15/1000*24*30</f>
        <v>10.799999999999999</v>
      </c>
      <c r="F9" s="25" t="s">
        <v>22</v>
      </c>
      <c r="G9" s="51">
        <f>5/1000</f>
        <v>5.0000000000000001E-3</v>
      </c>
      <c r="H9" s="78"/>
      <c r="I9" s="116">
        <f>E9</f>
        <v>10.799999999999999</v>
      </c>
      <c r="J9" s="122">
        <f>I9-H9-H10-H11-H12-H13-H14-H15</f>
        <v>10.799999999999999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34"/>
      <c r="F10" s="25" t="s">
        <v>29</v>
      </c>
      <c r="G10" s="52">
        <v>0</v>
      </c>
      <c r="H10" s="79"/>
      <c r="I10" s="116"/>
      <c r="J10" s="122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34"/>
      <c r="F11" s="12" t="s">
        <v>23</v>
      </c>
      <c r="G11" s="53">
        <v>0</v>
      </c>
      <c r="H11" s="80"/>
      <c r="I11" s="117"/>
      <c r="J11" s="122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34"/>
      <c r="F12" s="12" t="s">
        <v>24</v>
      </c>
      <c r="G12" s="53">
        <v>0</v>
      </c>
      <c r="H12" s="80"/>
      <c r="I12" s="117"/>
      <c r="J12" s="122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34"/>
      <c r="F13" s="12" t="s">
        <v>25</v>
      </c>
      <c r="G13" s="53">
        <v>0</v>
      </c>
      <c r="H13" s="80"/>
      <c r="I13" s="117"/>
      <c r="J13" s="122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34"/>
      <c r="F14" s="12" t="s">
        <v>26</v>
      </c>
      <c r="G14" s="53">
        <v>0</v>
      </c>
      <c r="H14" s="80"/>
      <c r="I14" s="117"/>
      <c r="J14" s="122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2"/>
      <c r="F15" s="9" t="s">
        <v>27</v>
      </c>
      <c r="G15" s="54">
        <f>1.791/1000</f>
        <v>1.7909999999999998E-3</v>
      </c>
      <c r="H15" s="81"/>
      <c r="I15" s="118"/>
      <c r="J15" s="114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Февраль!Область_печати</vt:lpstr>
      <vt:lpstr>Январь!Область_печати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Потетюрин Максим Александрович</cp:lastModifiedBy>
  <dcterms:created xsi:type="dcterms:W3CDTF">2019-02-07T04:10:07Z</dcterms:created>
  <dcterms:modified xsi:type="dcterms:W3CDTF">2023-06-09T01:17:18Z</dcterms:modified>
</cp:coreProperties>
</file>